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binator\Desktop\Converter\"/>
    </mc:Choice>
  </mc:AlternateContent>
  <bookViews>
    <workbookView xWindow="360" yWindow="5520" windowWidth="14355" windowHeight="4680"/>
  </bookViews>
  <sheets>
    <sheet name="Converter" sheetId="1" r:id="rId1"/>
    <sheet name="Pes Stats" sheetId="3" r:id="rId2"/>
  </sheets>
  <calcPr calcId="152511"/>
</workbook>
</file>

<file path=xl/calcChain.xml><?xml version="1.0" encoding="utf-8"?>
<calcChain xmlns="http://schemas.openxmlformats.org/spreadsheetml/2006/main">
  <c r="S4" i="1" l="1"/>
  <c r="V25" i="1"/>
  <c r="G29" i="1"/>
  <c r="G28" i="1"/>
  <c r="G26" i="1"/>
  <c r="C13" i="3"/>
  <c r="C14" i="3"/>
  <c r="C15" i="3"/>
  <c r="C17" i="3"/>
  <c r="C18" i="3"/>
  <c r="C20" i="3"/>
  <c r="C23" i="3"/>
  <c r="C25" i="3"/>
  <c r="C30" i="3"/>
  <c r="C34" i="3"/>
  <c r="C35" i="3"/>
  <c r="Y25" i="1"/>
  <c r="K27" i="1" l="1"/>
  <c r="C33" i="3" s="1"/>
  <c r="Y28" i="1" l="1"/>
  <c r="Y27" i="1"/>
  <c r="Y26" i="1"/>
  <c r="V27" i="1"/>
  <c r="Y29" i="1"/>
  <c r="V30" i="1"/>
  <c r="V32" i="1"/>
  <c r="V29" i="1"/>
  <c r="Y31" i="1"/>
  <c r="V28" i="1"/>
  <c r="Y30" i="1"/>
  <c r="V31" i="1"/>
  <c r="C26" i="3"/>
  <c r="G25" i="1" l="1"/>
  <c r="C26" i="1"/>
  <c r="C30" i="1" l="1"/>
  <c r="C29" i="1" s="1"/>
  <c r="S5" i="1" l="1"/>
  <c r="S25" i="1"/>
  <c r="C12" i="3" s="1"/>
  <c r="S6" i="1"/>
  <c r="S26" i="1" s="1"/>
  <c r="C21" i="3" s="1"/>
  <c r="S27" i="1" l="1"/>
  <c r="C22" i="3" s="1"/>
  <c r="O25" i="1"/>
  <c r="C28" i="3" s="1"/>
  <c r="G31" i="1"/>
  <c r="C25" i="1"/>
  <c r="K28" i="1"/>
  <c r="K29" i="1"/>
  <c r="O26" i="1"/>
  <c r="C29" i="3" s="1"/>
  <c r="G30" i="1"/>
  <c r="C27" i="3" s="1"/>
  <c r="C27" i="1"/>
  <c r="K25" i="1"/>
  <c r="C31" i="3" s="1"/>
  <c r="G27" i="1"/>
  <c r="C24" i="3" s="1"/>
  <c r="C31" i="1" l="1"/>
  <c r="C19" i="3" s="1"/>
  <c r="C28" i="1"/>
  <c r="C16" i="3" s="1"/>
  <c r="K26" i="1"/>
  <c r="C32" i="3" s="1"/>
</calcChain>
</file>

<file path=xl/sharedStrings.xml><?xml version="1.0" encoding="utf-8"?>
<sst xmlns="http://schemas.openxmlformats.org/spreadsheetml/2006/main" count="137" uniqueCount="133">
  <si>
    <t>FIFA</t>
  </si>
  <si>
    <t>Acceleration</t>
  </si>
  <si>
    <t>Balance</t>
  </si>
  <si>
    <t>Jumping</t>
  </si>
  <si>
    <t>Reactions</t>
  </si>
  <si>
    <t>Sprint Speed</t>
  </si>
  <si>
    <t>Stamina</t>
  </si>
  <si>
    <t>Strength</t>
  </si>
  <si>
    <t>Agility</t>
  </si>
  <si>
    <t>Aggression</t>
  </si>
  <si>
    <t>Att. Position</t>
  </si>
  <si>
    <t>Interceptions</t>
  </si>
  <si>
    <t>Vision</t>
  </si>
  <si>
    <t>Ball Control</t>
  </si>
  <si>
    <t>Crossing</t>
  </si>
  <si>
    <t>Curve</t>
  </si>
  <si>
    <t>Dribbling</t>
  </si>
  <si>
    <t>Finishing</t>
  </si>
  <si>
    <t>FK Acc.</t>
  </si>
  <si>
    <t>Heading Acc.</t>
  </si>
  <si>
    <t>Long Pass</t>
  </si>
  <si>
    <t>Long Shots</t>
  </si>
  <si>
    <t>Marking</t>
  </si>
  <si>
    <t>Penalties</t>
  </si>
  <si>
    <t>Short Pass</t>
  </si>
  <si>
    <t>Shot Power</t>
  </si>
  <si>
    <t>Slide Tackle</t>
  </si>
  <si>
    <t>Stand Tackle</t>
  </si>
  <si>
    <t>Volleys</t>
  </si>
  <si>
    <t>Stamina:</t>
  </si>
  <si>
    <t>GK Attributes</t>
  </si>
  <si>
    <t>GK Diving</t>
  </si>
  <si>
    <t>GK Handling</t>
  </si>
  <si>
    <t>GK Kicking</t>
  </si>
  <si>
    <t>GK Pos.</t>
  </si>
  <si>
    <t>GK Reflexes</t>
  </si>
  <si>
    <t>Physical Attributes</t>
  </si>
  <si>
    <t>Mental Attributes</t>
  </si>
  <si>
    <t>Skill Attributes</t>
  </si>
  <si>
    <t>Name</t>
  </si>
  <si>
    <t>Nationality</t>
  </si>
  <si>
    <t>Stronger Foot</t>
  </si>
  <si>
    <t>Registered Pos</t>
  </si>
  <si>
    <t>Age</t>
  </si>
  <si>
    <t>Height</t>
  </si>
  <si>
    <t>Weight</t>
  </si>
  <si>
    <t>Attacking Prowess :</t>
  </si>
  <si>
    <t>Ball Control :</t>
  </si>
  <si>
    <t>Dribbling :</t>
  </si>
  <si>
    <t>Low Pass :</t>
  </si>
  <si>
    <t>Lofted Pass :</t>
  </si>
  <si>
    <t>Finishing :</t>
  </si>
  <si>
    <t>Place Kicking :</t>
  </si>
  <si>
    <t>Controlled Spin :</t>
  </si>
  <si>
    <t>Header :</t>
  </si>
  <si>
    <t>Defensive Prowess :</t>
  </si>
  <si>
    <t>Ball Winning :</t>
  </si>
  <si>
    <t>Kicking Power :</t>
  </si>
  <si>
    <t>Speed :</t>
  </si>
  <si>
    <t>Explosive Power :</t>
  </si>
  <si>
    <t>Body Balance :</t>
  </si>
  <si>
    <t>Jump :</t>
  </si>
  <si>
    <t>Goal Keeping Skills :</t>
  </si>
  <si>
    <t>Saving :</t>
  </si>
  <si>
    <t>Tenacity :</t>
  </si>
  <si>
    <t>Stamina :</t>
  </si>
  <si>
    <t>Form:</t>
  </si>
  <si>
    <t>Injury Resistance :</t>
  </si>
  <si>
    <t>Weak Foot Acc :</t>
  </si>
  <si>
    <t>Weak Foot Use :</t>
  </si>
  <si>
    <t>Attacking Prowess:</t>
  </si>
  <si>
    <t>Ball Control:</t>
  </si>
  <si>
    <t>Dribling:</t>
  </si>
  <si>
    <t>Low Pass:</t>
  </si>
  <si>
    <t>Lofted Pass:</t>
  </si>
  <si>
    <t>Finishing:</t>
  </si>
  <si>
    <t>Place Kicking:</t>
  </si>
  <si>
    <t>Controlled Spin:</t>
  </si>
  <si>
    <t>Header:</t>
  </si>
  <si>
    <t>Defensive Prowess:</t>
  </si>
  <si>
    <t>Ball Winning:</t>
  </si>
  <si>
    <t>Kicking Power:</t>
  </si>
  <si>
    <t>Speed:</t>
  </si>
  <si>
    <t>Explosive Power:</t>
  </si>
  <si>
    <t>Body Balance:</t>
  </si>
  <si>
    <t>Jump:</t>
  </si>
  <si>
    <t>Tenacity:</t>
  </si>
  <si>
    <t>Goal Keeping Skills:</t>
  </si>
  <si>
    <t>Saving:</t>
  </si>
  <si>
    <t>New Stats:</t>
  </si>
  <si>
    <t>Old Stats</t>
  </si>
  <si>
    <t>Card</t>
  </si>
  <si>
    <t>Name:</t>
  </si>
  <si>
    <t>Stronger Foot:</t>
  </si>
  <si>
    <t>Registered Pos:</t>
  </si>
  <si>
    <t>Age:</t>
  </si>
  <si>
    <t>Height:</t>
  </si>
  <si>
    <t>Weight:</t>
  </si>
  <si>
    <t>Injury Resistance:</t>
  </si>
  <si>
    <t>Weak Foot Acc:</t>
  </si>
  <si>
    <t>Weak Foot Use:</t>
  </si>
  <si>
    <t>WE-PES 2014</t>
  </si>
  <si>
    <t>Other Attributes</t>
  </si>
  <si>
    <t>Weak Foot</t>
  </si>
  <si>
    <t>Other Pos:</t>
  </si>
  <si>
    <t>FIFA to PES2014</t>
  </si>
  <si>
    <t>CARD</t>
  </si>
  <si>
    <t>Goalkeeper Stats:</t>
  </si>
  <si>
    <t>Mentality:</t>
  </si>
  <si>
    <t>Attack:</t>
  </si>
  <si>
    <t>Defender:</t>
  </si>
  <si>
    <t>Attack Workrate:</t>
  </si>
  <si>
    <t>Defensive Workrate:</t>
  </si>
  <si>
    <t>C. Ronaldo</t>
  </si>
  <si>
    <t>PORTUGAL</t>
  </si>
  <si>
    <t>CF</t>
  </si>
  <si>
    <t>Right</t>
  </si>
  <si>
    <t>GK</t>
  </si>
  <si>
    <t>CB</t>
  </si>
  <si>
    <t>RB</t>
  </si>
  <si>
    <t>LB</t>
  </si>
  <si>
    <t>SS</t>
  </si>
  <si>
    <t xml:space="preserve">Other Pos: </t>
  </si>
  <si>
    <t>2nd Prefered Pos:</t>
  </si>
  <si>
    <t>3th  Prefered Pos:</t>
  </si>
  <si>
    <t>4th Prefered Pos:</t>
  </si>
  <si>
    <t>DMF</t>
  </si>
  <si>
    <t>CMF</t>
  </si>
  <si>
    <t>RMF</t>
  </si>
  <si>
    <t>LMF</t>
  </si>
  <si>
    <t>AMF</t>
  </si>
  <si>
    <t>RWF</t>
  </si>
  <si>
    <t>LWF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</si>
</sst>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3" borderId="0" xfId="0" applyFont="1" applyFill="1"/>
    <xf numFmtId="0" fontId="4" fillId="4" borderId="0" xfId="0" applyFont="1" applyFill="1"/>
    <xf numFmtId="0" fontId="2" fillId="3" borderId="0" xfId="0" applyFont="1" applyFill="1"/>
    <xf numFmtId="0" fontId="1" fillId="3" borderId="0" xfId="0" applyFont="1" applyFill="1"/>
    <xf numFmtId="0" fontId="2" fillId="4" borderId="0" xfId="0" applyFont="1" applyFill="1"/>
    <xf numFmtId="0" fontId="1" fillId="4" borderId="0" xfId="0" applyFont="1" applyFill="1"/>
    <xf numFmtId="0" fontId="2" fillId="4" borderId="0" xfId="0" applyFont="1" applyFill="1" applyBorder="1"/>
    <xf numFmtId="1" fontId="2" fillId="4" borderId="0" xfId="0" applyNumberFormat="1" applyFont="1" applyFill="1"/>
    <xf numFmtId="0" fontId="2" fillId="0" borderId="0" xfId="0" applyFont="1"/>
    <xf numFmtId="0" fontId="2" fillId="5" borderId="0" xfId="0" applyFont="1" applyFill="1"/>
    <xf numFmtId="0" fontId="2" fillId="2" borderId="0" xfId="0" applyFont="1" applyFill="1"/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" fontId="2" fillId="4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5" fillId="2" borderId="0" xfId="0" applyFont="1" applyFill="1"/>
    <xf numFmtId="0" fontId="0" fillId="3" borderId="0" xfId="0" applyFill="1"/>
    <xf numFmtId="0" fontId="6" fillId="6" borderId="1" xfId="0" applyFont="1" applyFill="1" applyBorder="1"/>
    <xf numFmtId="1" fontId="6" fillId="7" borderId="1" xfId="0" applyNumberFormat="1" applyFont="1" applyFill="1" applyBorder="1" applyAlignment="1">
      <alignment horizontal="center" vertical="center"/>
    </xf>
    <xf numFmtId="1" fontId="6" fillId="7" borderId="2" xfId="0" applyNumberFormat="1" applyFont="1" applyFill="1" applyBorder="1" applyAlignment="1">
      <alignment horizontal="center" vertical="center"/>
    </xf>
    <xf numFmtId="1" fontId="6" fillId="7" borderId="3" xfId="0" applyNumberFormat="1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horizontal="left" vertical="center"/>
    </xf>
    <xf numFmtId="0" fontId="6" fillId="7" borderId="3" xfId="0" applyFont="1" applyFill="1" applyBorder="1" applyAlignment="1">
      <alignment horizontal="left" vertical="center"/>
    </xf>
    <xf numFmtId="0" fontId="0" fillId="3" borderId="0" xfId="0" applyFill="1" applyBorder="1"/>
    <xf numFmtId="0" fontId="2" fillId="8" borderId="1" xfId="0" applyFont="1" applyFill="1" applyBorder="1"/>
    <xf numFmtId="0" fontId="2" fillId="8" borderId="2" xfId="0" applyFont="1" applyFill="1" applyBorder="1"/>
    <xf numFmtId="0" fontId="2" fillId="8" borderId="3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" fontId="2" fillId="8" borderId="3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9" borderId="1" xfId="0" applyFont="1" applyFill="1" applyBorder="1"/>
    <xf numFmtId="0" fontId="0" fillId="9" borderId="2" xfId="0" applyFont="1" applyFill="1" applyBorder="1"/>
    <xf numFmtId="0" fontId="0" fillId="9" borderId="2" xfId="0" applyFill="1" applyBorder="1" applyAlignment="1">
      <alignment horizontal="right" vertical="center"/>
    </xf>
    <xf numFmtId="0" fontId="0" fillId="9" borderId="3" xfId="0" applyFill="1" applyBorder="1" applyAlignment="1">
      <alignment horizontal="right" vertical="center"/>
    </xf>
    <xf numFmtId="1" fontId="2" fillId="4" borderId="4" xfId="0" applyNumberFormat="1" applyFont="1" applyFill="1" applyBorder="1" applyAlignment="1">
      <alignment horizontal="center"/>
    </xf>
    <xf numFmtId="0" fontId="2" fillId="3" borderId="0" xfId="0" applyFont="1" applyFill="1" applyBorder="1"/>
    <xf numFmtId="0" fontId="7" fillId="3" borderId="0" xfId="0" applyFont="1" applyFill="1"/>
    <xf numFmtId="0" fontId="2" fillId="8" borderId="4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4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70">
    <dxf>
      <font>
        <b val="0"/>
        <i val="0"/>
        <color theme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</font>
      <fill>
        <patternFill>
          <bgColor rgb="FFFF0000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</font>
      <fill>
        <patternFill>
          <bgColor rgb="FFFF0000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</font>
      <fill>
        <patternFill>
          <bgColor rgb="FFFF0000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CC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</font>
      <fill>
        <patternFill>
          <bgColor rgb="FFFF0000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</font>
      <fill>
        <patternFill>
          <bgColor rgb="FFFF0000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color theme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</font>
      <fill>
        <patternFill>
          <bgColor rgb="FFFF0000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00B0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CC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abSelected="1" zoomScale="115" zoomScaleNormal="115" workbookViewId="0">
      <selection activeCell="K6" sqref="K6"/>
    </sheetView>
  </sheetViews>
  <sheetFormatPr baseColWidth="10" defaultColWidth="9.140625" defaultRowHeight="15" x14ac:dyDescent="0.25"/>
  <cols>
    <col min="1" max="1" width="18.42578125" style="9" bestFit="1" customWidth="1"/>
    <col min="2" max="2" width="4.7109375" style="9" customWidth="1"/>
    <col min="3" max="3" width="9.42578125" style="15" bestFit="1" customWidth="1"/>
    <col min="4" max="4" width="2.5703125" style="9" customWidth="1"/>
    <col min="5" max="5" width="16.85546875" style="9" bestFit="1" customWidth="1"/>
    <col min="6" max="6" width="3.85546875" style="9" customWidth="1"/>
    <col min="7" max="7" width="9.42578125" style="15" bestFit="1" customWidth="1"/>
    <col min="8" max="8" width="3" style="9" customWidth="1"/>
    <col min="9" max="9" width="14.28515625" style="9" bestFit="1" customWidth="1"/>
    <col min="10" max="10" width="3.5703125" style="9" customWidth="1"/>
    <col min="11" max="11" width="8.5703125" style="15" bestFit="1" customWidth="1"/>
    <col min="12" max="12" width="3" style="9" customWidth="1"/>
    <col min="13" max="13" width="15.140625" style="9" bestFit="1" customWidth="1"/>
    <col min="14" max="14" width="5" style="9" customWidth="1"/>
    <col min="15" max="15" width="3.7109375" style="15" customWidth="1"/>
    <col min="16" max="16" width="5.85546875" style="9" customWidth="1"/>
    <col min="17" max="17" width="17.85546875" style="9" customWidth="1"/>
    <col min="18" max="18" width="4.5703125" style="9" customWidth="1"/>
    <col min="19" max="19" width="8.28515625" style="9" customWidth="1"/>
    <col min="20" max="20" width="4.7109375" style="9" customWidth="1"/>
    <col min="21" max="21" width="17.85546875" style="9" customWidth="1"/>
    <col min="22" max="22" width="16.42578125" style="9" customWidth="1"/>
    <col min="23" max="23" width="4.28515625" style="9" customWidth="1"/>
    <col min="24" max="24" width="9.140625" style="9" customWidth="1"/>
    <col min="25" max="25" width="16.140625" style="9" customWidth="1"/>
    <col min="26" max="16384" width="9.140625" style="9"/>
  </cols>
  <sheetData>
    <row r="1" spans="1:22" s="3" customFormat="1" ht="23.25" x14ac:dyDescent="0.35">
      <c r="A1" s="1" t="s">
        <v>0</v>
      </c>
      <c r="C1" s="12"/>
      <c r="G1" s="12"/>
      <c r="K1" s="12"/>
      <c r="O1" s="12"/>
    </row>
    <row r="2" spans="1:22" s="3" customFormat="1" x14ac:dyDescent="0.25">
      <c r="C2" s="12"/>
      <c r="G2" s="12"/>
      <c r="K2" s="12"/>
      <c r="O2" s="12"/>
    </row>
    <row r="3" spans="1:22" s="3" customFormat="1" x14ac:dyDescent="0.25">
      <c r="A3" s="42" t="s">
        <v>36</v>
      </c>
      <c r="C3" s="12"/>
      <c r="E3" s="42" t="s">
        <v>37</v>
      </c>
      <c r="G3" s="12"/>
      <c r="I3" s="42" t="s">
        <v>38</v>
      </c>
      <c r="K3" s="12"/>
      <c r="M3" s="42" t="s">
        <v>30</v>
      </c>
      <c r="O3" s="12"/>
      <c r="Q3" s="42" t="s">
        <v>102</v>
      </c>
      <c r="S3" s="12"/>
      <c r="U3" s="4" t="s">
        <v>91</v>
      </c>
    </row>
    <row r="4" spans="1:22" s="3" customFormat="1" x14ac:dyDescent="0.25">
      <c r="A4" s="3" t="s">
        <v>1</v>
      </c>
      <c r="C4" s="31">
        <v>0</v>
      </c>
      <c r="E4" s="3" t="s">
        <v>8</v>
      </c>
      <c r="G4" s="31">
        <v>0</v>
      </c>
      <c r="I4" s="3" t="s">
        <v>13</v>
      </c>
      <c r="K4" s="31">
        <v>0</v>
      </c>
      <c r="M4" s="3" t="s">
        <v>31</v>
      </c>
      <c r="O4" s="31">
        <v>0</v>
      </c>
      <c r="Q4" s="3" t="s">
        <v>109</v>
      </c>
      <c r="S4" s="31">
        <f>IF((K5=0),0,ROUNDUP(AVERAGE(K5,K8,K10,K15,K19)+6,0))</f>
        <v>0</v>
      </c>
      <c r="U4" s="3" t="s">
        <v>92</v>
      </c>
      <c r="V4" s="28"/>
    </row>
    <row r="5" spans="1:22" s="3" customFormat="1" x14ac:dyDescent="0.25">
      <c r="A5" s="3" t="s">
        <v>2</v>
      </c>
      <c r="C5" s="32">
        <v>0</v>
      </c>
      <c r="E5" s="3" t="s">
        <v>9</v>
      </c>
      <c r="G5" s="32">
        <v>0</v>
      </c>
      <c r="I5" s="3" t="s">
        <v>14</v>
      </c>
      <c r="K5" s="32">
        <v>0</v>
      </c>
      <c r="M5" s="3" t="s">
        <v>32</v>
      </c>
      <c r="O5" s="32">
        <v>0</v>
      </c>
      <c r="Q5" s="3" t="s">
        <v>108</v>
      </c>
      <c r="S5" s="32">
        <f>(G5+G7+G6+G8+G4)/5</f>
        <v>0</v>
      </c>
      <c r="U5" s="3" t="s">
        <v>40</v>
      </c>
      <c r="V5" s="29"/>
    </row>
    <row r="6" spans="1:22" s="3" customFormat="1" x14ac:dyDescent="0.25">
      <c r="A6" s="3" t="s">
        <v>3</v>
      </c>
      <c r="C6" s="32">
        <v>0</v>
      </c>
      <c r="E6" s="3" t="s">
        <v>10</v>
      </c>
      <c r="G6" s="32">
        <v>0</v>
      </c>
      <c r="I6" s="3" t="s">
        <v>15</v>
      </c>
      <c r="K6" s="32">
        <v>0</v>
      </c>
      <c r="M6" s="3" t="s">
        <v>33</v>
      </c>
      <c r="O6" s="32">
        <v>0</v>
      </c>
      <c r="Q6" s="3" t="s">
        <v>110</v>
      </c>
      <c r="R6" s="41"/>
      <c r="S6" s="32">
        <f>IF(TRIM(V7)="GK",ROUND((K13+K17+K18)/3,0),(K13+K13+K13+K17+K18)/3)</f>
        <v>0</v>
      </c>
      <c r="T6" s="41"/>
      <c r="U6" s="3" t="s">
        <v>93</v>
      </c>
      <c r="V6" s="29"/>
    </row>
    <row r="7" spans="1:22" s="3" customFormat="1" x14ac:dyDescent="0.25">
      <c r="A7" s="3" t="s">
        <v>4</v>
      </c>
      <c r="C7" s="32">
        <v>0</v>
      </c>
      <c r="E7" s="3" t="s">
        <v>11</v>
      </c>
      <c r="G7" s="32">
        <v>0</v>
      </c>
      <c r="I7" s="3" t="s">
        <v>16</v>
      </c>
      <c r="K7" s="32">
        <v>0</v>
      </c>
      <c r="M7" s="3" t="s">
        <v>34</v>
      </c>
      <c r="O7" s="32">
        <v>0</v>
      </c>
      <c r="Q7" s="3" t="s">
        <v>103</v>
      </c>
      <c r="R7" s="41"/>
      <c r="S7" s="34">
        <v>0</v>
      </c>
      <c r="T7" s="41"/>
      <c r="U7" s="3" t="s">
        <v>94</v>
      </c>
      <c r="V7" s="44"/>
    </row>
    <row r="8" spans="1:22" s="3" customFormat="1" x14ac:dyDescent="0.25">
      <c r="A8" s="3" t="s">
        <v>5</v>
      </c>
      <c r="C8" s="32">
        <v>0</v>
      </c>
      <c r="E8" s="3" t="s">
        <v>12</v>
      </c>
      <c r="G8" s="33">
        <v>0</v>
      </c>
      <c r="I8" s="3" t="s">
        <v>17</v>
      </c>
      <c r="K8" s="32">
        <v>0</v>
      </c>
      <c r="M8" s="3" t="s">
        <v>35</v>
      </c>
      <c r="O8" s="33">
        <v>0</v>
      </c>
      <c r="Q8" s="3" t="s">
        <v>112</v>
      </c>
      <c r="R8" s="41"/>
      <c r="S8" s="43"/>
      <c r="T8" s="41"/>
      <c r="U8" s="3" t="s">
        <v>95</v>
      </c>
      <c r="V8" s="29"/>
    </row>
    <row r="9" spans="1:22" s="3" customFormat="1" x14ac:dyDescent="0.25">
      <c r="A9" s="3" t="s">
        <v>6</v>
      </c>
      <c r="C9" s="32">
        <v>0</v>
      </c>
      <c r="G9" s="12"/>
      <c r="I9" s="3" t="s">
        <v>18</v>
      </c>
      <c r="K9" s="32">
        <v>0</v>
      </c>
      <c r="O9" s="12"/>
      <c r="Q9" s="3" t="s">
        <v>111</v>
      </c>
      <c r="R9" s="41"/>
      <c r="S9" s="43"/>
      <c r="T9" s="41"/>
      <c r="U9" s="3" t="s">
        <v>96</v>
      </c>
      <c r="V9" s="29"/>
    </row>
    <row r="10" spans="1:22" s="3" customFormat="1" x14ac:dyDescent="0.25">
      <c r="A10" s="3" t="s">
        <v>7</v>
      </c>
      <c r="C10" s="33">
        <v>0</v>
      </c>
      <c r="G10" s="12"/>
      <c r="I10" s="3" t="s">
        <v>19</v>
      </c>
      <c r="K10" s="32">
        <v>0</v>
      </c>
      <c r="O10" s="12"/>
      <c r="U10" s="3" t="s">
        <v>97</v>
      </c>
      <c r="V10" s="30"/>
    </row>
    <row r="11" spans="1:22" s="3" customFormat="1" x14ac:dyDescent="0.25">
      <c r="C11" s="12"/>
      <c r="G11" s="12"/>
      <c r="I11" s="3" t="s">
        <v>20</v>
      </c>
      <c r="K11" s="32">
        <v>0</v>
      </c>
      <c r="O11" s="12"/>
    </row>
    <row r="12" spans="1:22" s="3" customFormat="1" x14ac:dyDescent="0.25">
      <c r="C12" s="12"/>
      <c r="G12" s="12"/>
      <c r="I12" s="3" t="s">
        <v>21</v>
      </c>
      <c r="K12" s="32">
        <v>0</v>
      </c>
      <c r="O12" s="12"/>
      <c r="U12" s="4" t="s">
        <v>122</v>
      </c>
    </row>
    <row r="13" spans="1:22" s="3" customFormat="1" x14ac:dyDescent="0.25">
      <c r="C13" s="12"/>
      <c r="G13" s="12"/>
      <c r="I13" s="3" t="s">
        <v>22</v>
      </c>
      <c r="K13" s="32">
        <v>0</v>
      </c>
      <c r="O13" s="12"/>
      <c r="U13" s="3" t="s">
        <v>123</v>
      </c>
      <c r="V13" s="43"/>
    </row>
    <row r="14" spans="1:22" s="3" customFormat="1" x14ac:dyDescent="0.25">
      <c r="C14" s="12"/>
      <c r="G14" s="12"/>
      <c r="I14" s="3" t="s">
        <v>23</v>
      </c>
      <c r="K14" s="32">
        <v>0</v>
      </c>
      <c r="O14" s="12"/>
      <c r="U14" s="3" t="s">
        <v>124</v>
      </c>
      <c r="V14" s="43"/>
    </row>
    <row r="15" spans="1:22" s="3" customFormat="1" x14ac:dyDescent="0.25">
      <c r="C15" s="12"/>
      <c r="G15" s="12"/>
      <c r="I15" s="3" t="s">
        <v>24</v>
      </c>
      <c r="K15" s="32">
        <v>0</v>
      </c>
      <c r="O15" s="12"/>
      <c r="U15" s="3" t="s">
        <v>125</v>
      </c>
      <c r="V15" s="43"/>
    </row>
    <row r="16" spans="1:22" s="3" customFormat="1" x14ac:dyDescent="0.25">
      <c r="C16" s="12"/>
      <c r="G16" s="12"/>
      <c r="I16" s="3" t="s">
        <v>25</v>
      </c>
      <c r="K16" s="32">
        <v>0</v>
      </c>
      <c r="O16" s="12"/>
    </row>
    <row r="17" spans="1:25" s="3" customFormat="1" x14ac:dyDescent="0.25">
      <c r="C17" s="12"/>
      <c r="G17" s="12"/>
      <c r="I17" s="3" t="s">
        <v>26</v>
      </c>
      <c r="K17" s="32">
        <v>0</v>
      </c>
      <c r="O17" s="12"/>
    </row>
    <row r="18" spans="1:25" s="3" customFormat="1" x14ac:dyDescent="0.25">
      <c r="C18" s="12"/>
      <c r="G18" s="12"/>
      <c r="I18" s="3" t="s">
        <v>27</v>
      </c>
      <c r="K18" s="32">
        <v>0</v>
      </c>
      <c r="O18" s="12"/>
    </row>
    <row r="19" spans="1:25" s="3" customFormat="1" x14ac:dyDescent="0.25">
      <c r="C19" s="12"/>
      <c r="G19" s="12"/>
      <c r="I19" s="3" t="s">
        <v>28</v>
      </c>
      <c r="K19" s="33">
        <v>0</v>
      </c>
      <c r="O19" s="12"/>
    </row>
    <row r="20" spans="1:25" s="3" customFormat="1" x14ac:dyDescent="0.25">
      <c r="C20" s="12"/>
      <c r="G20" s="12"/>
      <c r="K20" s="12"/>
      <c r="O20" s="12"/>
    </row>
    <row r="21" spans="1:25" s="11" customFormat="1" ht="8.25" customHeight="1" x14ac:dyDescent="0.3">
      <c r="A21" s="18"/>
      <c r="C21" s="13"/>
      <c r="G21" s="13"/>
      <c r="K21" s="13"/>
      <c r="O21" s="13"/>
    </row>
    <row r="22" spans="1:25" s="5" customFormat="1" ht="26.25" x14ac:dyDescent="0.4">
      <c r="A22" s="2" t="s">
        <v>101</v>
      </c>
      <c r="C22" s="14"/>
      <c r="G22" s="14"/>
      <c r="K22" s="14"/>
      <c r="O22" s="14"/>
    </row>
    <row r="23" spans="1:25" s="5" customFormat="1" x14ac:dyDescent="0.25">
      <c r="C23" s="14"/>
      <c r="G23" s="14"/>
      <c r="K23" s="14"/>
      <c r="O23" s="14"/>
    </row>
    <row r="24" spans="1:25" s="5" customFormat="1" x14ac:dyDescent="0.25">
      <c r="A24" s="6" t="s">
        <v>90</v>
      </c>
      <c r="C24" s="14"/>
      <c r="E24" s="6"/>
      <c r="G24" s="14"/>
      <c r="I24" s="6"/>
      <c r="K24" s="14"/>
      <c r="M24" s="6" t="s">
        <v>107</v>
      </c>
      <c r="O24" s="14"/>
      <c r="Q24" s="6" t="s">
        <v>89</v>
      </c>
      <c r="U24" s="6" t="s">
        <v>104</v>
      </c>
    </row>
    <row r="25" spans="1:25" s="5" customFormat="1" x14ac:dyDescent="0.25">
      <c r="A25" s="7" t="s">
        <v>71</v>
      </c>
      <c r="C25" s="16">
        <f>AVERAGE(K4,K4,K4,K4,S5)</f>
        <v>0</v>
      </c>
      <c r="E25" s="7" t="s">
        <v>78</v>
      </c>
      <c r="G25" s="16">
        <f>ROUND(IF(AND((V9)&gt;= 150, (V9)&lt;= 169),AVERAGE(K10,G4,K8,K16)-10,IF(AND((V9)&gt;= 170, (V9)&lt;= 179),AVERAGE(K10,G4,K8,K16)+1,IF(AND((V9)&gt;= 180, (V9)&lt;= 210),AVERAGE(K10,G4,K8,K16)+6,0))),0)</f>
        <v>0</v>
      </c>
      <c r="I25" s="5" t="s">
        <v>29</v>
      </c>
      <c r="K25" s="16">
        <f>AVERAGE(C5,C9,C10)</f>
        <v>0</v>
      </c>
      <c r="M25" s="5" t="s">
        <v>87</v>
      </c>
      <c r="O25" s="16">
        <f>IF(TRIM(V7)="GK",AVERAGE(O4,O5,O7,O8,S26),50)</f>
        <v>50</v>
      </c>
      <c r="Q25" s="7" t="s">
        <v>70</v>
      </c>
      <c r="R25" s="8"/>
      <c r="S25" s="16">
        <f>ROUNDUP(IF(AND(TRIM(S9)="High", TRIM(S9)="High"),AVERAGE(S4,G6,G8)+3,IF(AND(TRIM(S9)="Medium", TRIM(S9)="Medium"),AVERAGE(S4,G6,G8)+2,IF(AND(TRIM(S9)="Low", TRIM(S9)="Low"),AVERAGE(S4,G6,G8)+1,0))),0)</f>
        <v>0</v>
      </c>
      <c r="U25" s="5" t="s">
        <v>94</v>
      </c>
      <c r="V25" s="40" t="str">
        <f>IF((V7=""),"No Registered",+V7)</f>
        <v>No Registered</v>
      </c>
      <c r="X25" s="5" t="s">
        <v>128</v>
      </c>
      <c r="Y25" s="40" t="str">
        <f>IF((V13="RMF"),"A",IF((V14="RMF"),"B",IF((V15="RMF"),"B",IF((V25="RMF"),"A","C"))))</f>
        <v>C</v>
      </c>
    </row>
    <row r="26" spans="1:25" s="5" customFormat="1" x14ac:dyDescent="0.25">
      <c r="A26" s="7" t="s">
        <v>72</v>
      </c>
      <c r="C26" s="16">
        <f>ROUND(IF(AND((V9)&gt;= 150, (V9)&lt;= 169),AVERAGE(K7,K7,K7,C4,G4,C8)+5,IF(AND((V9)&gt;= 170, (V9)&lt;= 179),AVERAGE(K7,K7,K7,C4,G4,C8)+4,IF(AND((V9)&gt;= 180, (V9)&lt;= 210),AVERAGE(K7,K7,K7,C4,G4,C8)+3,0))),0)</f>
        <v>0</v>
      </c>
      <c r="E26" s="7" t="s">
        <v>81</v>
      </c>
      <c r="G26" s="16">
        <f>IF((C10=0),0,AVERAGE(K16,K12,C10,C10)+10)</f>
        <v>0</v>
      </c>
      <c r="I26" s="5" t="s">
        <v>66</v>
      </c>
      <c r="K26" s="16">
        <f>QUOTIENT(PRODUCT(AVERAGE(C10,C5,C9),8),100)</f>
        <v>0</v>
      </c>
      <c r="M26" s="5" t="s">
        <v>88</v>
      </c>
      <c r="O26" s="16">
        <f>IF(TRIM(V7)="GK",AVERAGE(O4,O7,O8,G4,C7),50)</f>
        <v>50</v>
      </c>
      <c r="Q26" s="7" t="s">
        <v>79</v>
      </c>
      <c r="R26" s="8"/>
      <c r="S26" s="16">
        <f>IF(AND(TRIM(S8)="High", TRIM(S8)="High"),AVERAGE(K13,K17,K18,C10,C5,S6)+3,IF(AND(TRIM(S8)="Medium", TRIM(S8)="Medium"),AVERAGE(K13,K17,K18,C10,C5,S6)+2,IF(AND(TRIM(S8)="Low", TRIM(S8)="Low"),AVERAGE(K13,K17,K18,C10,C5,S6)+1,0)))</f>
        <v>0</v>
      </c>
      <c r="U26" s="8"/>
      <c r="V26" s="8"/>
      <c r="X26" s="5" t="s">
        <v>129</v>
      </c>
      <c r="Y26" s="40" t="str">
        <f>IF((V13="LMF"),"A",IF((V14="LMF"),"B",IF((V15="LMF"),"B",IF((V25="LMF"),"A","C"))))</f>
        <v>C</v>
      </c>
    </row>
    <row r="27" spans="1:25" s="5" customFormat="1" x14ac:dyDescent="0.25">
      <c r="A27" s="7" t="s">
        <v>73</v>
      </c>
      <c r="C27" s="16">
        <f>AVERAGE(K8,K15,K11)</f>
        <v>0</v>
      </c>
      <c r="E27" s="7" t="s">
        <v>82</v>
      </c>
      <c r="G27" s="16">
        <f>AVERAGE(C8,G4,C10)</f>
        <v>0</v>
      </c>
      <c r="I27" s="5" t="s">
        <v>98</v>
      </c>
      <c r="K27" s="16">
        <f>IF(AND(AVERAGE(C5,C10)&gt;= 1, AVERAGE(C5,C10)&lt;= 33.5),1,IF(AND(AVERAGE(C5,C10)&gt;= 33.6, AVERAGE(C5,C10)&lt;= 66.5),2,IF(AND(AVERAGE(C5,C10)&gt;= 66.6, AVERAGE(C5,C10)&lt;= 99),3,0)))</f>
        <v>0</v>
      </c>
      <c r="O27" s="16"/>
      <c r="Q27" s="7" t="s">
        <v>80</v>
      </c>
      <c r="R27" s="8"/>
      <c r="S27" s="40">
        <f>IF(AND(TRIM(S8)="High", TRIM(S8)="High"),(S5+S26)/2-7,IF(AND(TRIM(S8)="Medium", TRIM(S8)="Medium"),(S5+S26)/2-8,IF(AND(TRIM(S8)="Low", TRIM(S8)="Low"),(S5+S26)/2-9,0)))</f>
        <v>0</v>
      </c>
      <c r="U27" s="5" t="s">
        <v>117</v>
      </c>
      <c r="V27" s="45" t="str">
        <f>IF((V13="GK"),"A",IF((V14="GK"),"B",IF((V15="GK"),"B",IF((V25="GK"),"A","C"))))</f>
        <v>C</v>
      </c>
      <c r="X27" s="5" t="s">
        <v>130</v>
      </c>
      <c r="Y27" s="40" t="str">
        <f>IF((V13="AMF"),"A",IF((V14="AMF"),"B",IF((V15="AMF"),"B",IF((V25="AMF"),"A","C"))))</f>
        <v>C</v>
      </c>
    </row>
    <row r="28" spans="1:25" s="5" customFormat="1" x14ac:dyDescent="0.25">
      <c r="A28" s="7" t="s">
        <v>74</v>
      </c>
      <c r="C28" s="16">
        <f>AVERAGE(K5,K11,K12,K8)</f>
        <v>0</v>
      </c>
      <c r="E28" s="7" t="s">
        <v>83</v>
      </c>
      <c r="G28" s="40">
        <f>IF((C7=0),0,ROUND(IF(AND((V9)&gt;= 150, (V9)&lt;= 169),AVERAGE(C7,C8,G4,C4)+8,IF(AND((V9)&gt;= 170, (V9)&lt;= 179),AVERAGE(C7,C8,G4,C4)+4,IF(AND((V9)&gt;= 180, (V9)&lt;= 210),AVERAGE(C7,C8,G4,C4)+3,0)))-8,0))</f>
        <v>0</v>
      </c>
      <c r="I28" s="5" t="s">
        <v>99</v>
      </c>
      <c r="K28" s="16">
        <f>IF(TRIM(S7)="0",0,+S7+1)</f>
        <v>0</v>
      </c>
      <c r="M28" s="6"/>
      <c r="O28" s="16"/>
      <c r="R28" s="8"/>
      <c r="S28" s="8"/>
      <c r="U28" s="5" t="s">
        <v>118</v>
      </c>
      <c r="V28" s="40" t="str">
        <f>IF((V13="CB"),"A",IF((V14="CB"),"B",IF((V15="CB"),"B",IF((V25="CB"),"A","C"))))</f>
        <v>C</v>
      </c>
      <c r="X28" s="5" t="s">
        <v>131</v>
      </c>
      <c r="Y28" s="40" t="str">
        <f>IF((V13="RWF"),"A",IF((V14="RWF"),"B",IF((V15="RWF"),"B",IF((V25="RWF"),"A","C"))))</f>
        <v>C</v>
      </c>
    </row>
    <row r="29" spans="1:25" s="5" customFormat="1" x14ac:dyDescent="0.25">
      <c r="A29" s="7" t="s">
        <v>75</v>
      </c>
      <c r="C29" s="16">
        <f>AVERAGE(K8,K4,C30)</f>
        <v>0</v>
      </c>
      <c r="E29" s="7" t="s">
        <v>84</v>
      </c>
      <c r="G29" s="16">
        <f>IF((C5=0),0,ROUND(IF(AND((V9)&gt;= 150, (V9)&lt;= 169),AVERAGE(C5,C10)-4,IF(AND((V9)&gt;= 170, (V9)&lt;= 179),AVERAGE(C5,C10)+1,IF(AND((V9)&gt;= 180, (V9)&lt;= 210),AVERAGE(C5,C10)+3,0)))+10,0))</f>
        <v>0</v>
      </c>
      <c r="I29" s="5" t="s">
        <v>100</v>
      </c>
      <c r="K29" s="16">
        <f>IF(TRIM(S7)="0",0,+S7+3)</f>
        <v>0</v>
      </c>
      <c r="R29" s="8"/>
      <c r="S29" s="8"/>
      <c r="U29" s="5" t="s">
        <v>119</v>
      </c>
      <c r="V29" s="40" t="str">
        <f>IF((V13="RB"),"A",IF((V14="RB"),"B",IF((V15="RB"),"B",IF((V25="RB"),"A","C"))))</f>
        <v>C</v>
      </c>
      <c r="X29" s="5" t="s">
        <v>132</v>
      </c>
      <c r="Y29" s="40" t="str">
        <f>IF((V13="LWF"),"A",IF((V14="LWF"),"B",IF((V15="LWF"),"B",IF((V25="LWF"),"A","C"))))</f>
        <v>C</v>
      </c>
    </row>
    <row r="30" spans="1:25" s="5" customFormat="1" x14ac:dyDescent="0.25">
      <c r="A30" s="7" t="s">
        <v>76</v>
      </c>
      <c r="C30" s="16">
        <f>AVERAGE(K4,K9,K16,K12)</f>
        <v>0</v>
      </c>
      <c r="E30" s="7" t="s">
        <v>85</v>
      </c>
      <c r="G30" s="16">
        <f>AVERAGE(C6,G8,C10)</f>
        <v>0</v>
      </c>
      <c r="K30" s="14"/>
      <c r="R30" s="8"/>
      <c r="S30" s="8"/>
      <c r="U30" s="5" t="s">
        <v>120</v>
      </c>
      <c r="V30" s="40" t="str">
        <f>IF((V13="LB"),"A",IF((V14="LB"),"B",IF((V15="LB"),"B",IF((V25="LB"),"A","C"))))</f>
        <v>C</v>
      </c>
      <c r="X30" s="5" t="s">
        <v>121</v>
      </c>
      <c r="Y30" s="40" t="str">
        <f>IF((V13="SS"),"A",IF((V14="SS"),"B",IF((V15="SS"),"B",IF((V25="SS"),"A","C"))))</f>
        <v>C</v>
      </c>
    </row>
    <row r="31" spans="1:25" s="5" customFormat="1" x14ac:dyDescent="0.25">
      <c r="A31" s="7" t="s">
        <v>77</v>
      </c>
      <c r="C31" s="16">
        <f>AVERAGE(K6,K9,K11,K12,K19)</f>
        <v>0</v>
      </c>
      <c r="E31" s="7" t="s">
        <v>86</v>
      </c>
      <c r="G31" s="16">
        <f>IF(AND(TRIM(S9)="High", TRIM(S9)="High"),(S5+S5)/2+4,IF(AND(TRIM(S9)="Medium", TRIM(S9)="Medium"),(S5+S5)/2+3,IF(AND(TRIM(S9)="Low", TRIM(S9)="Low"),(S5+S5)/2+2,0)))</f>
        <v>0</v>
      </c>
      <c r="O31" s="14"/>
      <c r="R31" s="8"/>
      <c r="S31" s="8"/>
      <c r="U31" s="5" t="s">
        <v>126</v>
      </c>
      <c r="V31" s="40" t="str">
        <f>IF((V13="DMF"),"A",IF((V14="DMF"),"B",IF((V15="DMF"),"B",IF((V25="DMF"),"A","C"))))</f>
        <v>C</v>
      </c>
      <c r="X31" s="5" t="s">
        <v>115</v>
      </c>
      <c r="Y31" s="40" t="str">
        <f>IF((V13="CF"),"A",IF((V14="CF"),"B",IF((V15="CF"),"B",IF((V25="CF"),"A","C"))))</f>
        <v>C</v>
      </c>
    </row>
    <row r="32" spans="1:25" s="5" customFormat="1" x14ac:dyDescent="0.25">
      <c r="C32" s="14"/>
      <c r="G32" s="16"/>
      <c r="K32" s="14"/>
      <c r="O32" s="14"/>
      <c r="U32" s="5" t="s">
        <v>127</v>
      </c>
      <c r="V32" s="40" t="str">
        <f>IF((V13="CMF"),"A",IF((V14="CMF"),"B",IF((V15="CMF"),"B",IF((V25="CMF"),"A","C"))))</f>
        <v>C</v>
      </c>
    </row>
    <row r="33" spans="3:15" s="5" customFormat="1" x14ac:dyDescent="0.25">
      <c r="C33" s="14"/>
      <c r="G33" s="14"/>
      <c r="K33" s="14"/>
    </row>
    <row r="34" spans="3:15" s="10" customFormat="1" x14ac:dyDescent="0.25">
      <c r="C34" s="17"/>
      <c r="G34" s="17"/>
      <c r="K34" s="17"/>
      <c r="O34" s="17"/>
    </row>
    <row r="35" spans="3:15" s="10" customFormat="1" x14ac:dyDescent="0.25">
      <c r="C35" s="17"/>
      <c r="G35" s="17"/>
      <c r="K35" s="17"/>
      <c r="O35" s="17"/>
    </row>
    <row r="36" spans="3:15" s="10" customFormat="1" x14ac:dyDescent="0.25">
      <c r="C36" s="17"/>
      <c r="G36" s="17"/>
      <c r="K36" s="17"/>
      <c r="O36" s="17"/>
    </row>
    <row r="37" spans="3:15" s="10" customFormat="1" x14ac:dyDescent="0.25">
      <c r="C37" s="17"/>
      <c r="G37" s="17"/>
      <c r="K37" s="17"/>
      <c r="M37" s="9"/>
      <c r="N37" s="9"/>
      <c r="O37" s="15"/>
    </row>
    <row r="38" spans="3:15" s="10" customFormat="1" x14ac:dyDescent="0.25">
      <c r="C38" s="17"/>
      <c r="G38" s="17"/>
      <c r="K38" s="17"/>
      <c r="M38" s="9"/>
      <c r="N38" s="9"/>
      <c r="O38" s="15"/>
    </row>
  </sheetData>
  <conditionalFormatting sqref="C4:C10 G4:G8 K4:K19 O4:O8">
    <cfRule type="cellIs" dxfId="69" priority="133" operator="between">
      <formula>1</formula>
      <formula>49</formula>
    </cfRule>
  </conditionalFormatting>
  <conditionalFormatting sqref="C4:C10 G4:G8 K4:K19 O4:O8">
    <cfRule type="cellIs" dxfId="68" priority="131" operator="between">
      <formula>50</formula>
      <formula>69</formula>
    </cfRule>
  </conditionalFormatting>
  <conditionalFormatting sqref="C4:C10 G4:G8 K4:K19 O4:O8">
    <cfRule type="cellIs" dxfId="67" priority="129" operator="between">
      <formula>70</formula>
      <formula>79</formula>
    </cfRule>
  </conditionalFormatting>
  <conditionalFormatting sqref="C4:C10 G4:G8 K4:K19 O4:O8">
    <cfRule type="cellIs" dxfId="66" priority="128" operator="between">
      <formula>80</formula>
      <formula>89</formula>
    </cfRule>
  </conditionalFormatting>
  <conditionalFormatting sqref="C4:C10 G4:G8 K4:K19 O4:O8">
    <cfRule type="cellIs" dxfId="65" priority="127" operator="between">
      <formula>90</formula>
      <formula>99</formula>
    </cfRule>
  </conditionalFormatting>
  <conditionalFormatting sqref="O27 S24 W24:X24 X26:X31">
    <cfRule type="cellIs" dxfId="64" priority="123" operator="between">
      <formula>19.5</formula>
      <formula>20.4</formula>
    </cfRule>
    <cfRule type="cellIs" dxfId="63" priority="124" operator="between">
      <formula>14.5</formula>
      <formula>19.4</formula>
    </cfRule>
    <cfRule type="cellIs" dxfId="62" priority="125" operator="between">
      <formula>9.5</formula>
      <formula>14.4</formula>
    </cfRule>
    <cfRule type="cellIs" dxfId="61" priority="126" operator="between">
      <formula>0.5</formula>
      <formula>9.4</formula>
    </cfRule>
  </conditionalFormatting>
  <conditionalFormatting sqref="C25:C31 O25:O26 S25:S27 G25:G30 K25:K27">
    <cfRule type="cellIs" dxfId="60" priority="116" operator="between">
      <formula>0</formula>
      <formula>74.5</formula>
    </cfRule>
    <cfRule type="cellIs" dxfId="59" priority="117" operator="between">
      <formula>94.6</formula>
      <formula>99</formula>
    </cfRule>
    <cfRule type="cellIs" dxfId="58" priority="118" operator="between">
      <formula>89.6</formula>
      <formula>94.5</formula>
    </cfRule>
    <cfRule type="cellIs" dxfId="57" priority="119" operator="between">
      <formula>79.6</formula>
      <formula>89.5</formula>
    </cfRule>
    <cfRule type="cellIs" dxfId="56" priority="120" operator="between">
      <formula>74.6</formula>
      <formula>79.5</formula>
    </cfRule>
  </conditionalFormatting>
  <conditionalFormatting sqref="K27:K29">
    <cfRule type="cellIs" dxfId="55" priority="111" operator="between">
      <formula>0</formula>
      <formula>74.5</formula>
    </cfRule>
    <cfRule type="cellIs" dxfId="54" priority="112" operator="between">
      <formula>94.6</formula>
      <formula>99</formula>
    </cfRule>
    <cfRule type="cellIs" dxfId="53" priority="113" operator="between">
      <formula>89.6</formula>
      <formula>94.5</formula>
    </cfRule>
    <cfRule type="cellIs" dxfId="52" priority="114" operator="between">
      <formula>79.6</formula>
      <formula>89.5</formula>
    </cfRule>
    <cfRule type="cellIs" dxfId="51" priority="115" operator="between">
      <formula>74.6</formula>
      <formula>79.5</formula>
    </cfRule>
  </conditionalFormatting>
  <conditionalFormatting sqref="K29">
    <cfRule type="cellIs" dxfId="50" priority="108" operator="between">
      <formula>3</formula>
      <formula>3</formula>
    </cfRule>
    <cfRule type="cellIs" dxfId="49" priority="109" operator="between">
      <formula>2</formula>
      <formula>2</formula>
    </cfRule>
    <cfRule type="cellIs" dxfId="48" priority="110" operator="between">
      <formula>1</formula>
      <formula>1</formula>
    </cfRule>
  </conditionalFormatting>
  <conditionalFormatting sqref="K28">
    <cfRule type="cellIs" dxfId="47" priority="106" operator="between">
      <formula>8</formula>
      <formula>8</formula>
    </cfRule>
    <cfRule type="cellIs" dxfId="46" priority="107" operator="between">
      <formula>7</formula>
      <formula>7</formula>
    </cfRule>
  </conditionalFormatting>
  <conditionalFormatting sqref="G31">
    <cfRule type="cellIs" dxfId="45" priority="96" operator="between">
      <formula>0</formula>
      <formula>74.5</formula>
    </cfRule>
    <cfRule type="cellIs" dxfId="44" priority="97" operator="between">
      <formula>94.6</formula>
      <formula>99</formula>
    </cfRule>
    <cfRule type="cellIs" dxfId="43" priority="98" operator="between">
      <formula>89.6</formula>
      <formula>94.5</formula>
    </cfRule>
    <cfRule type="cellIs" dxfId="42" priority="99" operator="between">
      <formula>79.6</formula>
      <formula>89.5</formula>
    </cfRule>
    <cfRule type="cellIs" dxfId="41" priority="100" operator="between">
      <formula>74.6</formula>
      <formula>79.5</formula>
    </cfRule>
  </conditionalFormatting>
  <conditionalFormatting sqref="K28">
    <cfRule type="cellIs" dxfId="40" priority="93" operator="between">
      <formula>3</formula>
      <formula>3</formula>
    </cfRule>
    <cfRule type="cellIs" dxfId="39" priority="94" operator="between">
      <formula>2</formula>
      <formula>2</formula>
    </cfRule>
    <cfRule type="cellIs" dxfId="38" priority="95" operator="between">
      <formula>1</formula>
      <formula>1</formula>
    </cfRule>
  </conditionalFormatting>
  <conditionalFormatting sqref="K27">
    <cfRule type="cellIs" dxfId="37" priority="91" operator="between">
      <formula>8</formula>
      <formula>8</formula>
    </cfRule>
    <cfRule type="cellIs" dxfId="36" priority="92" operator="between">
      <formula>7</formula>
      <formula>7</formula>
    </cfRule>
  </conditionalFormatting>
  <conditionalFormatting sqref="S4:S6">
    <cfRule type="cellIs" dxfId="35" priority="90" operator="between">
      <formula>1</formula>
      <formula>49</formula>
    </cfRule>
  </conditionalFormatting>
  <conditionalFormatting sqref="S4:S6">
    <cfRule type="cellIs" dxfId="34" priority="89" operator="between">
      <formula>50</formula>
      <formula>69</formula>
    </cfRule>
  </conditionalFormatting>
  <conditionalFormatting sqref="S4:S6">
    <cfRule type="cellIs" dxfId="33" priority="88" operator="between">
      <formula>70</formula>
      <formula>79</formula>
    </cfRule>
  </conditionalFormatting>
  <conditionalFormatting sqref="S4:S6">
    <cfRule type="cellIs" dxfId="32" priority="87" operator="between">
      <formula>80</formula>
      <formula>89</formula>
    </cfRule>
  </conditionalFormatting>
  <conditionalFormatting sqref="S4:S6">
    <cfRule type="cellIs" dxfId="31" priority="86" operator="between">
      <formula>90</formula>
      <formula>99</formula>
    </cfRule>
  </conditionalFormatting>
  <conditionalFormatting sqref="S7">
    <cfRule type="cellIs" dxfId="30" priority="81" operator="between">
      <formula>0</formula>
      <formula>74.5</formula>
    </cfRule>
    <cfRule type="cellIs" dxfId="29" priority="82" operator="between">
      <formula>94.6</formula>
      <formula>99</formula>
    </cfRule>
    <cfRule type="cellIs" dxfId="28" priority="83" operator="between">
      <formula>89.6</formula>
      <formula>94.5</formula>
    </cfRule>
    <cfRule type="cellIs" dxfId="27" priority="84" operator="between">
      <formula>79.6</formula>
      <formula>89.5</formula>
    </cfRule>
    <cfRule type="cellIs" dxfId="26" priority="85" operator="between">
      <formula>74.6</formula>
      <formula>79.5</formula>
    </cfRule>
  </conditionalFormatting>
  <conditionalFormatting sqref="V25 V27:V32">
    <cfRule type="cellIs" dxfId="25" priority="36" operator="between">
      <formula>0</formula>
      <formula>74.5</formula>
    </cfRule>
    <cfRule type="cellIs" dxfId="24" priority="37" operator="between">
      <formula>94.6</formula>
      <formula>99</formula>
    </cfRule>
    <cfRule type="cellIs" dxfId="23" priority="38" operator="between">
      <formula>89.6</formula>
      <formula>94.5</formula>
    </cfRule>
    <cfRule type="cellIs" dxfId="22" priority="39" operator="between">
      <formula>79.6</formula>
      <formula>89.5</formula>
    </cfRule>
    <cfRule type="cellIs" dxfId="21" priority="40" operator="between">
      <formula>74.6</formula>
      <formula>79.5</formula>
    </cfRule>
  </conditionalFormatting>
  <conditionalFormatting sqref="Y25:Y31">
    <cfRule type="cellIs" dxfId="20" priority="1" operator="between">
      <formula>0</formula>
      <formula>74.5</formula>
    </cfRule>
    <cfRule type="cellIs" dxfId="19" priority="2" operator="between">
      <formula>94.6</formula>
      <formula>99</formula>
    </cfRule>
    <cfRule type="cellIs" dxfId="18" priority="3" operator="between">
      <formula>89.6</formula>
      <formula>94.5</formula>
    </cfRule>
    <cfRule type="cellIs" dxfId="17" priority="4" operator="between">
      <formula>79.6</formula>
      <formula>89.5</formula>
    </cfRule>
    <cfRule type="cellIs" dxfId="16" priority="5" operator="between">
      <formula>74.6</formula>
      <formula>79.5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workbookViewId="0">
      <selection activeCell="F16" sqref="F15:F16"/>
    </sheetView>
  </sheetViews>
  <sheetFormatPr baseColWidth="10" defaultRowHeight="15" x14ac:dyDescent="0.25"/>
  <cols>
    <col min="2" max="2" width="19.85546875" customWidth="1"/>
    <col min="3" max="3" width="22.85546875" customWidth="1"/>
    <col min="4" max="4" width="6" customWidth="1"/>
    <col min="5" max="5" width="5.140625" customWidth="1"/>
    <col min="6" max="14" width="20.7109375" customWidth="1"/>
  </cols>
  <sheetData>
    <row r="1" spans="1:22" s="19" customFormat="1" x14ac:dyDescent="0.25"/>
    <row r="2" spans="1:22" s="19" customFormat="1" x14ac:dyDescent="0.25"/>
    <row r="3" spans="1:22" x14ac:dyDescent="0.25">
      <c r="A3" s="19"/>
      <c r="B3" s="20" t="s">
        <v>105</v>
      </c>
      <c r="C3" s="35" t="s">
        <v>106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</row>
    <row r="4" spans="1:22" x14ac:dyDescent="0.25">
      <c r="A4" s="19"/>
      <c r="B4" s="24" t="s">
        <v>39</v>
      </c>
      <c r="C4" s="36" t="s">
        <v>113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</row>
    <row r="5" spans="1:22" x14ac:dyDescent="0.25">
      <c r="A5" s="19"/>
      <c r="B5" s="25" t="s">
        <v>40</v>
      </c>
      <c r="C5" s="37" t="s">
        <v>114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</row>
    <row r="6" spans="1:22" x14ac:dyDescent="0.25">
      <c r="A6" s="19"/>
      <c r="B6" s="25" t="s">
        <v>41</v>
      </c>
      <c r="C6" s="37" t="s">
        <v>115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</row>
    <row r="7" spans="1:22" x14ac:dyDescent="0.25">
      <c r="A7" s="19"/>
      <c r="B7" s="25" t="s">
        <v>42</v>
      </c>
      <c r="C7" s="37" t="s">
        <v>116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</row>
    <row r="8" spans="1:22" x14ac:dyDescent="0.25">
      <c r="A8" s="19"/>
      <c r="B8" s="25" t="s">
        <v>43</v>
      </c>
      <c r="C8" s="37">
        <v>28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</row>
    <row r="9" spans="1:22" x14ac:dyDescent="0.25">
      <c r="A9" s="19"/>
      <c r="B9" s="25" t="s">
        <v>44</v>
      </c>
      <c r="C9" s="38">
        <v>187</v>
      </c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</row>
    <row r="10" spans="1:22" x14ac:dyDescent="0.25">
      <c r="A10" s="19"/>
      <c r="B10" s="26" t="s">
        <v>45</v>
      </c>
      <c r="C10" s="39">
        <v>80</v>
      </c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</row>
    <row r="11" spans="1:22" s="19" customFormat="1" x14ac:dyDescent="0.25">
      <c r="C11" s="27"/>
    </row>
    <row r="12" spans="1:22" x14ac:dyDescent="0.25">
      <c r="A12" s="19"/>
      <c r="B12" s="24" t="s">
        <v>46</v>
      </c>
      <c r="C12" s="21">
        <f>+Converter!S25</f>
        <v>0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spans="1:22" x14ac:dyDescent="0.25">
      <c r="A13" s="19"/>
      <c r="B13" s="25" t="s">
        <v>47</v>
      </c>
      <c r="C13" s="22">
        <f>+Converter!C25</f>
        <v>0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spans="1:22" x14ac:dyDescent="0.25">
      <c r="A14" s="19"/>
      <c r="B14" s="25" t="s">
        <v>48</v>
      </c>
      <c r="C14" s="22">
        <f>+Converter!C26</f>
        <v>0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2" x14ac:dyDescent="0.25">
      <c r="A15" s="19"/>
      <c r="B15" s="25" t="s">
        <v>49</v>
      </c>
      <c r="C15" s="22">
        <f>+Converter!C27</f>
        <v>0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spans="1:22" x14ac:dyDescent="0.25">
      <c r="A16" s="19"/>
      <c r="B16" s="25" t="s">
        <v>50</v>
      </c>
      <c r="C16" s="22">
        <f>+Converter!C28</f>
        <v>0</v>
      </c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1:22" x14ac:dyDescent="0.25">
      <c r="A17" s="19"/>
      <c r="B17" s="25" t="s">
        <v>51</v>
      </c>
      <c r="C17" s="22">
        <f>+Converter!C29</f>
        <v>0</v>
      </c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1:22" x14ac:dyDescent="0.25">
      <c r="A18" s="19"/>
      <c r="B18" s="25" t="s">
        <v>52</v>
      </c>
      <c r="C18" s="22">
        <f>+Converter!C30</f>
        <v>0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19" spans="1:22" x14ac:dyDescent="0.25">
      <c r="A19" s="19"/>
      <c r="B19" s="25" t="s">
        <v>53</v>
      </c>
      <c r="C19" s="22">
        <f>+Converter!C31</f>
        <v>0</v>
      </c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</row>
    <row r="20" spans="1:22" x14ac:dyDescent="0.25">
      <c r="A20" s="19"/>
      <c r="B20" s="25" t="s">
        <v>54</v>
      </c>
      <c r="C20" s="22">
        <f>+Converter!G25</f>
        <v>0</v>
      </c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</row>
    <row r="21" spans="1:22" x14ac:dyDescent="0.25">
      <c r="A21" s="19"/>
      <c r="B21" s="25" t="s">
        <v>55</v>
      </c>
      <c r="C21" s="22">
        <f>+Converter!S26</f>
        <v>0</v>
      </c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</row>
    <row r="22" spans="1:22" x14ac:dyDescent="0.25">
      <c r="A22" s="19"/>
      <c r="B22" s="25" t="s">
        <v>56</v>
      </c>
      <c r="C22" s="22">
        <f>+Converter!S27</f>
        <v>0</v>
      </c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</row>
    <row r="23" spans="1:22" x14ac:dyDescent="0.25">
      <c r="A23" s="19"/>
      <c r="B23" s="25" t="s">
        <v>57</v>
      </c>
      <c r="C23" s="22">
        <f>+Converter!G26</f>
        <v>0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</row>
    <row r="24" spans="1:22" x14ac:dyDescent="0.25">
      <c r="A24" s="19"/>
      <c r="B24" s="25" t="s">
        <v>58</v>
      </c>
      <c r="C24" s="22">
        <f>+Converter!G27</f>
        <v>0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</row>
    <row r="25" spans="1:22" x14ac:dyDescent="0.25">
      <c r="A25" s="19"/>
      <c r="B25" s="25" t="s">
        <v>59</v>
      </c>
      <c r="C25" s="22">
        <f>+Converter!G28</f>
        <v>0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</row>
    <row r="26" spans="1:22" x14ac:dyDescent="0.25">
      <c r="A26" s="19"/>
      <c r="B26" s="25" t="s">
        <v>60</v>
      </c>
      <c r="C26" s="22">
        <f>+Converter!G29</f>
        <v>0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</row>
    <row r="27" spans="1:22" x14ac:dyDescent="0.25">
      <c r="A27" s="19"/>
      <c r="B27" s="25" t="s">
        <v>61</v>
      </c>
      <c r="C27" s="22">
        <f>+Converter!G30</f>
        <v>0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</row>
    <row r="28" spans="1:22" x14ac:dyDescent="0.25">
      <c r="A28" s="19"/>
      <c r="B28" s="25" t="s">
        <v>62</v>
      </c>
      <c r="C28" s="22">
        <f>Converter!O25</f>
        <v>50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</row>
    <row r="29" spans="1:22" x14ac:dyDescent="0.25">
      <c r="A29" s="19"/>
      <c r="B29" s="25" t="s">
        <v>63</v>
      </c>
      <c r="C29" s="22">
        <f>+Converter!O26</f>
        <v>50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</row>
    <row r="30" spans="1:22" x14ac:dyDescent="0.25">
      <c r="A30" s="19"/>
      <c r="B30" s="25" t="s">
        <v>64</v>
      </c>
      <c r="C30" s="22">
        <f>+Converter!G31</f>
        <v>0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</row>
    <row r="31" spans="1:22" x14ac:dyDescent="0.25">
      <c r="A31" s="19"/>
      <c r="B31" s="25" t="s">
        <v>65</v>
      </c>
      <c r="C31" s="22">
        <f>+Converter!K25</f>
        <v>0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</row>
    <row r="32" spans="1:22" x14ac:dyDescent="0.25">
      <c r="A32" s="19"/>
      <c r="B32" s="25" t="s">
        <v>66</v>
      </c>
      <c r="C32" s="22">
        <f>+Converter!K26</f>
        <v>0</v>
      </c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</row>
    <row r="33" spans="1:22" x14ac:dyDescent="0.25">
      <c r="A33" s="19"/>
      <c r="B33" s="25" t="s">
        <v>67</v>
      </c>
      <c r="C33" s="22">
        <f>+Converter!K27</f>
        <v>0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</row>
    <row r="34" spans="1:22" x14ac:dyDescent="0.25">
      <c r="A34" s="19"/>
      <c r="B34" s="25" t="s">
        <v>68</v>
      </c>
      <c r="C34" s="22">
        <f>+Converter!K28</f>
        <v>0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x14ac:dyDescent="0.25">
      <c r="A35" s="19"/>
      <c r="B35" s="26" t="s">
        <v>69</v>
      </c>
      <c r="C35" s="23">
        <f>+Converter!K29</f>
        <v>0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</sheetData>
  <conditionalFormatting sqref="C12:C31">
    <cfRule type="cellIs" dxfId="15" priority="9" operator="between">
      <formula>74.6</formula>
      <formula>79.5</formula>
    </cfRule>
    <cfRule type="cellIs" dxfId="14" priority="10" operator="between">
      <formula>79.6</formula>
      <formula>89.5</formula>
    </cfRule>
    <cfRule type="cellIs" dxfId="13" priority="11" operator="between">
      <formula>89.6</formula>
      <formula>94.5</formula>
    </cfRule>
    <cfRule type="cellIs" dxfId="12" priority="12" operator="between">
      <formula>94.6</formula>
      <formula>99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Converter</vt:lpstr>
      <vt:lpstr>Pes Stats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</dc:creator>
  <cp:lastModifiedBy>Tibinator</cp:lastModifiedBy>
  <dcterms:created xsi:type="dcterms:W3CDTF">2012-04-22T20:12:50Z</dcterms:created>
  <dcterms:modified xsi:type="dcterms:W3CDTF">2013-11-12T01:30:13Z</dcterms:modified>
</cp:coreProperties>
</file>